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" windowWidth="13395" windowHeight="14370"/>
  </bookViews>
  <sheets>
    <sheet name="Stranding Calculation" sheetId="1" r:id="rId1"/>
    <sheet name="Effective Frequency" sheetId="2" r:id="rId2"/>
    <sheet name="Diagrams" sheetId="4" r:id="rId3"/>
    <sheet name="Gapped Inductors" sheetId="5" r:id="rId4"/>
    <sheet name="Lists" sheetId="6" state="hidden" r:id="rId5"/>
  </sheets>
  <definedNames>
    <definedName name="b">'Stranding Calculation'!$E$16</definedName>
    <definedName name="beffc">'Gapped Inductors'!$B$30</definedName>
    <definedName name="beffr">'Gapped Inductors'!$A$31</definedName>
    <definedName name="delta">'Stranding Calculation'!$A$43</definedName>
    <definedName name="f">'Stranding Calculation'!$G$14</definedName>
    <definedName name="inR">'Gapped Inductors'!$C$6</definedName>
    <definedName name="lt">'Stranding Calculation'!$E$17</definedName>
    <definedName name="Ns">'Stranding Calculation'!$E$15</definedName>
    <definedName name="outR">'Gapped Inductors'!$C$10</definedName>
    <definedName name="outRe">'Gapped Inductors'!$B$29</definedName>
    <definedName name="rho">'Stranding Calculation'!$G$19</definedName>
    <definedName name="u0">'Stranding Calculation'!$A$45</definedName>
  </definedNames>
  <calcPr calcId="145621"/>
</workbook>
</file>

<file path=xl/calcChain.xml><?xml version="1.0" encoding="utf-8"?>
<calcChain xmlns="http://schemas.openxmlformats.org/spreadsheetml/2006/main">
  <c r="G17" i="1" l="1"/>
  <c r="C40" i="2" l="1"/>
  <c r="C46" i="2"/>
  <c r="C23" i="2"/>
  <c r="C34" i="2"/>
  <c r="H16" i="2"/>
  <c r="H17" i="2" s="1"/>
  <c r="C18" i="2" s="1"/>
  <c r="C12" i="2"/>
  <c r="C28" i="2"/>
  <c r="B30" i="5"/>
  <c r="B28" i="5"/>
  <c r="B29" i="5" s="1"/>
  <c r="B31" i="5" s="1"/>
  <c r="B17" i="5" l="1"/>
  <c r="A45" i="1" l="1"/>
  <c r="I17" i="1"/>
  <c r="G19" i="1"/>
  <c r="G14" i="1" l="1"/>
  <c r="A43" i="1" s="1"/>
  <c r="E25" i="1" l="1"/>
  <c r="E29" i="1"/>
  <c r="E33" i="1"/>
  <c r="E37" i="1"/>
  <c r="E30" i="1"/>
  <c r="E38" i="1"/>
  <c r="E27" i="1"/>
  <c r="E31" i="1"/>
  <c r="E35" i="1"/>
  <c r="E39" i="1"/>
  <c r="E28" i="1"/>
  <c r="E32" i="1"/>
  <c r="E36" i="1"/>
  <c r="E40" i="1"/>
  <c r="E26" i="1"/>
  <c r="E34" i="1"/>
  <c r="E24" i="1"/>
  <c r="H34" i="1" l="1"/>
  <c r="G34" i="1"/>
  <c r="H31" i="1"/>
  <c r="G31" i="1"/>
  <c r="H26" i="1"/>
  <c r="G26" i="1"/>
  <c r="H27" i="1"/>
  <c r="G27" i="1"/>
  <c r="H39" i="1"/>
  <c r="G39" i="1"/>
  <c r="H29" i="1"/>
  <c r="G29" i="1"/>
  <c r="H32" i="1"/>
  <c r="G32" i="1"/>
  <c r="H37" i="1"/>
  <c r="G37" i="1"/>
  <c r="H28" i="1"/>
  <c r="G28" i="1"/>
  <c r="H33" i="1"/>
  <c r="G33" i="1"/>
  <c r="H40" i="1"/>
  <c r="G40" i="1"/>
  <c r="H38" i="1"/>
  <c r="G38" i="1"/>
  <c r="H24" i="1"/>
  <c r="G24" i="1"/>
  <c r="H36" i="1"/>
  <c r="G36" i="1"/>
  <c r="H35" i="1"/>
  <c r="G35" i="1"/>
  <c r="H30" i="1"/>
  <c r="G30" i="1"/>
  <c r="H25" i="1"/>
  <c r="G25" i="1"/>
</calcChain>
</file>

<file path=xl/sharedStrings.xml><?xml version="1.0" encoding="utf-8"?>
<sst xmlns="http://schemas.openxmlformats.org/spreadsheetml/2006/main" count="152" uniqueCount="115">
  <si>
    <t>kHz</t>
  </si>
  <si>
    <t>Hz</t>
  </si>
  <si>
    <t>Frequency</t>
  </si>
  <si>
    <t>mm</t>
  </si>
  <si>
    <t>Conductor material</t>
  </si>
  <si>
    <t>Copper</t>
  </si>
  <si>
    <t>Aluminum</t>
  </si>
  <si>
    <t>MHz</t>
  </si>
  <si>
    <t>Operating temperature</t>
  </si>
  <si>
    <t>C</t>
  </si>
  <si>
    <t>resistivity at 20 C</t>
  </si>
  <si>
    <t>ohm-m</t>
  </si>
  <si>
    <t>resistivity at temp</t>
  </si>
  <si>
    <t>TC</t>
  </si>
  <si>
    <t>Winding turn length</t>
  </si>
  <si>
    <t>See "Effective Frequency" page for non-sinusoidal currents</t>
  </si>
  <si>
    <t>AWG</t>
  </si>
  <si>
    <t>strand</t>
  </si>
  <si>
    <t>gauge</t>
  </si>
  <si>
    <t>k</t>
  </si>
  <si>
    <t>Fr</t>
  </si>
  <si>
    <t>diameter</t>
  </si>
  <si>
    <t>(mm)</t>
  </si>
  <si>
    <t>Skin Depth</t>
  </si>
  <si>
    <t>u0</t>
  </si>
  <si>
    <t>Recommended</t>
  </si>
  <si>
    <t>approximate</t>
  </si>
  <si>
    <t>number of strands</t>
  </si>
  <si>
    <t>Resistance</t>
  </si>
  <si>
    <t>AC</t>
  </si>
  <si>
    <t>Maximum</t>
  </si>
  <si>
    <t>n1*</t>
  </si>
  <si>
    <t>(milliohms)</t>
  </si>
  <si>
    <t>b is the breadth of the core window, defined in the direction parallel to the dividing line between the windings.</t>
  </si>
  <si>
    <t xml:space="preserve">Ns is normally the number of turns in a given winding.  When the windings are interleaved, </t>
  </si>
  <si>
    <t>For more than two windings, or for transformers with different currents in differnet windings, use the online "litzopt" program.</t>
  </si>
  <si>
    <t>Litzopt Online for more complex scenarios</t>
  </si>
  <si>
    <t>Number of turns per winding section, Ns</t>
  </si>
  <si>
    <t>Core window breadth, b</t>
  </si>
  <si>
    <t>Spacing from gap r1</t>
  </si>
  <si>
    <t>Circular</t>
  </si>
  <si>
    <t>Rectangular</t>
  </si>
  <si>
    <t>Outside: circular or rectangular?</t>
  </si>
  <si>
    <t>Dimension b</t>
  </si>
  <si>
    <t>Dimension a</t>
  </si>
  <si>
    <t>If circular:</t>
  </si>
  <si>
    <t>Area</t>
  </si>
  <si>
    <t>r2 effective</t>
  </si>
  <si>
    <t>Effective value of b to use in Stranding Caculation</t>
  </si>
  <si>
    <t xml:space="preserve">b_effective = </t>
  </si>
  <si>
    <t>b_eff circular</t>
  </si>
  <si>
    <t>b_eff rect</t>
  </si>
  <si>
    <t>Outside radius, r2</t>
  </si>
  <si>
    <t>For a gapped inductor, the winding should be spaced away from the gap.</t>
  </si>
  <si>
    <t>This page will calculate an effective value of b that will enable the Stranding Calculation</t>
  </si>
  <si>
    <t>to properly analyze a gapped inductor.   You can configure the winding in either of</t>
  </si>
  <si>
    <t>the shapes shown but you must select which one in the drop-down menu.</t>
  </si>
  <si>
    <t>If rectangular:</t>
  </si>
  <si>
    <t>Internal calculation numbers</t>
  </si>
  <si>
    <t>Simple Transformer Litz Wire Optimizer</t>
  </si>
  <si>
    <t>and you will get a menu of options for good litz wire designs in the yellow region.</t>
  </si>
  <si>
    <t>For more geometries, see:</t>
  </si>
  <si>
    <t>"Diagrams" page for more transformer configurations</t>
  </si>
  <si>
    <t>See "Diagrams" page for definition in more scenarios</t>
  </si>
  <si>
    <t>Gapped inductors page for gapped inductors</t>
  </si>
  <si>
    <t>"Gapped Inductors" page for gapped inductors</t>
  </si>
  <si>
    <t>For non-sinusoidal currents, see the "Effective Frequency" page.</t>
  </si>
  <si>
    <t>Triangle Wave</t>
  </si>
  <si>
    <t>Actual frequency</t>
  </si>
  <si>
    <t>(your choice of units)</t>
  </si>
  <si>
    <t>D</t>
  </si>
  <si>
    <t>f_eff</t>
  </si>
  <si>
    <t>same units as frequency, above</t>
  </si>
  <si>
    <t>t_r_fraction</t>
  </si>
  <si>
    <t>Rise time as fraction of the period</t>
  </si>
  <si>
    <t>Non-sinusoidal current waveforms</t>
  </si>
  <si>
    <t>Discontinuous Triangle Wave</t>
  </si>
  <si>
    <t>Rectangular Pulse Train</t>
  </si>
  <si>
    <t>DC current relative to peak-to-peak ac</t>
  </si>
  <si>
    <t>D1</t>
  </si>
  <si>
    <t>Fraction of period rising</t>
  </si>
  <si>
    <t>Fraction of period falling</t>
  </si>
  <si>
    <t>D2</t>
  </si>
  <si>
    <t>Dtotal</t>
  </si>
  <si>
    <t>Dratio</t>
  </si>
  <si>
    <t>Fraction of period above zero</t>
  </si>
  <si>
    <t>Fraction of period non-zero</t>
  </si>
  <si>
    <t>Bipolar Assymetric Rectangular Wave</t>
  </si>
  <si>
    <t>Bipolar Square Wave</t>
  </si>
  <si>
    <t>Rise and fall time as fraction of the period</t>
  </si>
  <si>
    <t>Symmetric Bipolar Rectangular Wave with Deadtime</t>
  </si>
  <si>
    <t>Arbitrary Waveform</t>
  </si>
  <si>
    <t>Irms</t>
  </si>
  <si>
    <t>rms(dI/dt)</t>
  </si>
  <si>
    <t>A</t>
  </si>
  <si>
    <t>A/s</t>
  </si>
  <si>
    <t>This page calculates effective frequencies for various standard waveforms or arbitrary waveforms</t>
  </si>
  <si>
    <t>Idc/Ipp*</t>
  </si>
  <si>
    <t>* For large dc currents, consider using other options, including parallel litz/solid windings and shaped foil windings</t>
  </si>
  <si>
    <t>t_r_fraction*</t>
  </si>
  <si>
    <t>Note that for rectangular waveforms, the rise time cannot be zero, beause it is limited by</t>
  </si>
  <si>
    <t>leakage inductance.  You must have a reasonable estimate of the rise time to get accurate results.</t>
  </si>
  <si>
    <t>For formulas for rms(dI/dt) for some common waveforms, see</t>
  </si>
  <si>
    <t>Hurley, W.G.; Gath, E.; Breslin, J.G., "Optimizing the AC resistance of multilayer transformer windings with arbitrary current waveforms,"</t>
  </si>
  <si>
    <t>IEEE Transactions on Power Electronics, vol.15, no.2, pp.369-376, Mar 2000</t>
  </si>
  <si>
    <t>Complete the data in the white boxes, select a options from the drop-down menus in the pink boxes,</t>
  </si>
  <si>
    <t>The basic calculation assumes a layered transfomer with a simple set of two layered windings and sinusoidal currents.</t>
  </si>
  <si>
    <t>*Maximum n1 is the approximate maximum number of strands to combine in the first twisting operation before bundle-level skin effect degrades performance.</t>
  </si>
  <si>
    <t>See the bottom of the page for more background information.</t>
  </si>
  <si>
    <t xml:space="preserve">C. R. Sullivan, “Optimal Choice for Number of Strands in a Litz-Wire Transformer Winding”, </t>
  </si>
  <si>
    <t>IEEE Transactions on Power Electronics, vol. 14, no. 2, pp. 283–291, 1999.</t>
  </si>
  <si>
    <t>The method used on this page is explained in the appendix of</t>
  </si>
  <si>
    <t>Copyright 2014, Charles R. Sullivan, Thayer School of Engineering</t>
  </si>
  <si>
    <t>Cells other than data input are protected to prevent accidental overwriting, but they can be unprotected</t>
  </si>
  <si>
    <t xml:space="preserve"> without a password if you want to adapt the calculations for your own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</si>
</sst>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FA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vertical="center"/>
    </xf>
    <xf numFmtId="11" fontId="0" fillId="4" borderId="0" xfId="0" applyNumberFormat="1" applyFill="1"/>
    <xf numFmtId="0" fontId="0" fillId="4" borderId="0" xfId="0" applyFill="1" applyAlignment="1"/>
    <xf numFmtId="0" fontId="0" fillId="0" borderId="1" xfId="0" applyFill="1" applyBorder="1"/>
    <xf numFmtId="0" fontId="0" fillId="5" borderId="1" xfId="0" applyFill="1" applyBorder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11" fontId="3" fillId="4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165" fontId="0" fillId="6" borderId="0" xfId="0" applyNumberFormat="1" applyFill="1" applyAlignment="1">
      <alignment horizontal="center"/>
    </xf>
    <xf numFmtId="0" fontId="4" fillId="3" borderId="0" xfId="1" applyFill="1"/>
    <xf numFmtId="0" fontId="0" fillId="4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 applyBorder="1"/>
    <xf numFmtId="0" fontId="0" fillId="6" borderId="9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0" fontId="2" fillId="4" borderId="0" xfId="0" applyFont="1" applyFill="1"/>
    <xf numFmtId="0" fontId="3" fillId="4" borderId="0" xfId="0" applyFont="1" applyFill="1"/>
    <xf numFmtId="0" fontId="1" fillId="4" borderId="0" xfId="0" applyFont="1" applyFill="1"/>
    <xf numFmtId="0" fontId="5" fillId="4" borderId="0" xfId="0" applyFont="1" applyFill="1"/>
    <xf numFmtId="0" fontId="4" fillId="4" borderId="0" xfId="1" applyFill="1"/>
    <xf numFmtId="0" fontId="4" fillId="4" borderId="0" xfId="1" applyFill="1" applyAlignment="1"/>
    <xf numFmtId="0" fontId="6" fillId="4" borderId="6" xfId="1" applyFont="1" applyFill="1" applyBorder="1" applyAlignment="1"/>
    <xf numFmtId="0" fontId="6" fillId="4" borderId="0" xfId="1" applyFont="1" applyFill="1" applyAlignment="1"/>
    <xf numFmtId="0" fontId="4" fillId="4" borderId="0" xfId="1" applyFill="1" applyBorder="1" applyAlignment="1"/>
    <xf numFmtId="0" fontId="0" fillId="2" borderId="2" xfId="0" applyFill="1" applyBorder="1"/>
    <xf numFmtId="0" fontId="0" fillId="6" borderId="11" xfId="0" applyFill="1" applyBorder="1"/>
    <xf numFmtId="2" fontId="0" fillId="6" borderId="12" xfId="0" applyNumberFormat="1" applyFill="1" applyBorder="1"/>
    <xf numFmtId="0" fontId="0" fillId="6" borderId="12" xfId="0" applyFill="1" applyBorder="1"/>
    <xf numFmtId="0" fontId="0" fillId="6" borderId="13" xfId="0" applyFill="1" applyBorder="1"/>
    <xf numFmtId="2" fontId="0" fillId="4" borderId="0" xfId="0" applyNumberFormat="1" applyFill="1" applyBorder="1"/>
    <xf numFmtId="11" fontId="0" fillId="2" borderId="1" xfId="0" applyNumberFormat="1" applyFill="1" applyBorder="1"/>
    <xf numFmtId="0" fontId="0" fillId="4" borderId="0" xfId="0" applyFont="1" applyFill="1"/>
    <xf numFmtId="164" fontId="0" fillId="6" borderId="0" xfId="0" applyNumberFormat="1" applyFill="1"/>
    <xf numFmtId="0" fontId="0" fillId="6" borderId="0" xfId="0" applyFill="1" applyAlignment="1">
      <alignment horizontal="center"/>
    </xf>
    <xf numFmtId="0" fontId="4" fillId="4" borderId="0" xfId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F8FFA3"/>
      </font>
    </dxf>
  </dxfs>
  <tableStyles count="0" defaultTableStyle="TableStyleMedium2" defaultPivotStyle="PivotStyleLight16"/>
  <colors>
    <mruColors>
      <color rgb="FFF8FF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12</xdr:row>
      <xdr:rowOff>47625</xdr:rowOff>
    </xdr:from>
    <xdr:to>
      <xdr:col>13</xdr:col>
      <xdr:colOff>590965</xdr:colOff>
      <xdr:row>23</xdr:row>
      <xdr:rowOff>9822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1076325"/>
          <a:ext cx="2972215" cy="2124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142875</xdr:rowOff>
    </xdr:from>
    <xdr:to>
      <xdr:col>12</xdr:col>
      <xdr:colOff>86745</xdr:colOff>
      <xdr:row>29</xdr:row>
      <xdr:rowOff>133987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95375"/>
          <a:ext cx="7306695" cy="45631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238124</xdr:colOff>
      <xdr:row>5</xdr:row>
      <xdr:rowOff>132472</xdr:rowOff>
    </xdr:from>
    <xdr:to>
      <xdr:col>10</xdr:col>
      <xdr:colOff>351649</xdr:colOff>
      <xdr:row>24</xdr:row>
      <xdr:rowOff>123066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699" y="903997"/>
          <a:ext cx="3771125" cy="3695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ower.thayer.dartmouth.edu/papers/litzj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power.thayer.dartmouth.edu/litzopt_init_web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5"/>
  <sheetViews>
    <sheetView tabSelected="1" topLeftCell="A6" workbookViewId="0">
      <selection activeCell="D19" sqref="D19"/>
    </sheetView>
  </sheetViews>
  <sheetFormatPr defaultRowHeight="15" x14ac:dyDescent="0.25"/>
  <cols>
    <col min="1" max="1" width="11" style="4" customWidth="1"/>
    <col min="2" max="2" width="8.42578125" style="4" customWidth="1"/>
    <col min="3" max="3" width="9.85546875" style="4" customWidth="1"/>
    <col min="4" max="4" width="9.7109375" style="4" customWidth="1"/>
    <col min="5" max="5" width="11" style="4" customWidth="1"/>
    <col min="6" max="6" width="9.140625" style="4"/>
    <col min="7" max="7" width="14.7109375" style="4" customWidth="1"/>
    <col min="8" max="16384" width="9.140625" style="4"/>
  </cols>
  <sheetData>
    <row r="1" spans="1:10" ht="21" x14ac:dyDescent="0.35">
      <c r="A1" s="33" t="s">
        <v>59</v>
      </c>
      <c r="J1" s="4" t="s">
        <v>112</v>
      </c>
    </row>
    <row r="2" spans="1:10" x14ac:dyDescent="0.25">
      <c r="A2" s="4" t="s">
        <v>105</v>
      </c>
    </row>
    <row r="3" spans="1:10" x14ac:dyDescent="0.25">
      <c r="A3" s="4" t="s">
        <v>60</v>
      </c>
    </row>
    <row r="4" spans="1:10" x14ac:dyDescent="0.25">
      <c r="A4" s="4" t="s">
        <v>106</v>
      </c>
    </row>
    <row r="5" spans="1:10" x14ac:dyDescent="0.25">
      <c r="A5" s="4" t="s">
        <v>61</v>
      </c>
    </row>
    <row r="6" spans="1:10" x14ac:dyDescent="0.25">
      <c r="B6" s="38" t="s">
        <v>62</v>
      </c>
      <c r="C6" s="35"/>
    </row>
    <row r="7" spans="1:10" x14ac:dyDescent="0.25">
      <c r="B7" s="34" t="s">
        <v>65</v>
      </c>
    </row>
    <row r="8" spans="1:10" x14ac:dyDescent="0.25">
      <c r="A8" s="35" t="s">
        <v>66</v>
      </c>
      <c r="B8" s="35"/>
      <c r="C8" s="35"/>
      <c r="D8" s="35"/>
      <c r="E8" s="35"/>
    </row>
    <row r="9" spans="1:10" x14ac:dyDescent="0.25">
      <c r="A9" s="35"/>
      <c r="B9" s="35"/>
      <c r="C9" s="35"/>
      <c r="D9" s="35"/>
      <c r="E9" s="35"/>
    </row>
    <row r="10" spans="1:10" x14ac:dyDescent="0.25">
      <c r="A10" s="4" t="s">
        <v>113</v>
      </c>
      <c r="B10" s="35"/>
      <c r="C10" s="35"/>
      <c r="D10" s="35"/>
      <c r="E10" s="35"/>
    </row>
    <row r="11" spans="1:10" x14ac:dyDescent="0.25">
      <c r="A11" s="4" t="s">
        <v>114</v>
      </c>
    </row>
    <row r="13" spans="1:10" ht="15.75" thickBot="1" x14ac:dyDescent="0.3">
      <c r="E13" s="49" t="s">
        <v>15</v>
      </c>
      <c r="F13" s="49"/>
      <c r="G13" s="49"/>
      <c r="H13" s="49"/>
      <c r="I13" s="49"/>
    </row>
    <row r="14" spans="1:10" ht="15.75" thickBot="1" x14ac:dyDescent="0.3">
      <c r="A14" s="5" t="s">
        <v>2</v>
      </c>
      <c r="E14" s="1"/>
      <c r="F14" s="9" t="s">
        <v>0</v>
      </c>
      <c r="G14" s="6">
        <f>IF(F14="Hz",E14,IF(F14="kHz",E14*1000,E14*1000000))</f>
        <v>0</v>
      </c>
      <c r="H14" s="4" t="s">
        <v>1</v>
      </c>
    </row>
    <row r="15" spans="1:10" ht="15.75" thickBot="1" x14ac:dyDescent="0.3">
      <c r="A15" s="4" t="s">
        <v>37</v>
      </c>
      <c r="E15" s="2"/>
      <c r="F15" s="36" t="s">
        <v>63</v>
      </c>
      <c r="G15" s="37"/>
      <c r="H15" s="37"/>
      <c r="I15" s="30"/>
    </row>
    <row r="16" spans="1:10" ht="15.75" thickBot="1" x14ac:dyDescent="0.3">
      <c r="A16" s="4" t="s">
        <v>38</v>
      </c>
      <c r="E16" s="2"/>
      <c r="F16" s="4" t="s">
        <v>3</v>
      </c>
      <c r="G16" s="4" t="s">
        <v>10</v>
      </c>
      <c r="I16" s="4" t="s">
        <v>13</v>
      </c>
    </row>
    <row r="17" spans="1:12" ht="15.75" thickBot="1" x14ac:dyDescent="0.3">
      <c r="A17" s="4" t="s">
        <v>14</v>
      </c>
      <c r="E17" s="2"/>
      <c r="F17" s="4" t="s">
        <v>3</v>
      </c>
      <c r="G17" s="4">
        <f>IF(E18="Copper",0.00000001724,0.0000000283)</f>
        <v>1.7240000000000001E-8</v>
      </c>
      <c r="H17" s="10" t="s">
        <v>11</v>
      </c>
      <c r="I17" s="4">
        <f>IF(E18="Copper",0.004027,0.004308)</f>
        <v>4.0270000000000002E-3</v>
      </c>
    </row>
    <row r="18" spans="1:12" ht="15.75" thickBot="1" x14ac:dyDescent="0.3">
      <c r="A18" s="4" t="s">
        <v>4</v>
      </c>
      <c r="E18" s="9" t="s">
        <v>5</v>
      </c>
      <c r="G18" s="7" t="s">
        <v>12</v>
      </c>
    </row>
    <row r="19" spans="1:12" ht="15.75" thickBot="1" x14ac:dyDescent="0.3">
      <c r="A19" s="7" t="s">
        <v>8</v>
      </c>
      <c r="E19" s="2">
        <v>60</v>
      </c>
      <c r="F19" s="7" t="s">
        <v>9</v>
      </c>
      <c r="G19" s="6">
        <f>G17*(1+I17*(E19-20))</f>
        <v>2.0017019200000003E-8</v>
      </c>
      <c r="H19" s="11" t="s">
        <v>11</v>
      </c>
    </row>
    <row r="21" spans="1:12" x14ac:dyDescent="0.25">
      <c r="A21" s="14" t="s">
        <v>16</v>
      </c>
      <c r="B21" s="14" t="s">
        <v>17</v>
      </c>
      <c r="E21" s="48" t="s">
        <v>25</v>
      </c>
      <c r="F21" s="48"/>
      <c r="G21" s="18" t="s">
        <v>29</v>
      </c>
    </row>
    <row r="22" spans="1:12" x14ac:dyDescent="0.25">
      <c r="A22" s="14" t="s">
        <v>17</v>
      </c>
      <c r="B22" s="14" t="s">
        <v>21</v>
      </c>
      <c r="E22" s="48" t="s">
        <v>26</v>
      </c>
      <c r="F22" s="48"/>
      <c r="G22" s="18" t="s">
        <v>28</v>
      </c>
      <c r="H22" s="14" t="s">
        <v>30</v>
      </c>
    </row>
    <row r="23" spans="1:12" x14ac:dyDescent="0.25">
      <c r="A23" s="14" t="s">
        <v>18</v>
      </c>
      <c r="B23" s="14" t="s">
        <v>22</v>
      </c>
      <c r="C23" s="14" t="s">
        <v>20</v>
      </c>
      <c r="D23" s="12" t="s">
        <v>19</v>
      </c>
      <c r="E23" s="48" t="s">
        <v>27</v>
      </c>
      <c r="F23" s="48"/>
      <c r="G23" s="18" t="s">
        <v>32</v>
      </c>
      <c r="H23" s="17" t="s">
        <v>31</v>
      </c>
    </row>
    <row r="24" spans="1:12" x14ac:dyDescent="0.25">
      <c r="A24" s="14">
        <v>32</v>
      </c>
      <c r="B24" s="14">
        <v>0.20200000000000001</v>
      </c>
      <c r="C24" s="14">
        <v>1.06</v>
      </c>
      <c r="D24" s="12">
        <v>130</v>
      </c>
      <c r="E24" s="48" t="e">
        <f t="shared" ref="E24:E40" si="0">ROUND(D24*delta^2*b/Ns,0)</f>
        <v>#DIV/0!</v>
      </c>
      <c r="F24" s="48"/>
      <c r="G24" s="18" t="e">
        <f t="shared" ref="G24:G40" si="1">lt*Ns*rho/E24/(B24^2*PI()/4)*C24*1000*1000</f>
        <v>#DIV/0!</v>
      </c>
      <c r="H24" s="14" t="e">
        <f t="shared" ref="H24:H40" si="2">MIN(E24,MAX(ROUND(4*delta^2/B24^2,0),5))</f>
        <v>#DIV/0!</v>
      </c>
      <c r="J24" s="4" t="s">
        <v>61</v>
      </c>
    </row>
    <row r="25" spans="1:12" x14ac:dyDescent="0.25">
      <c r="A25" s="14">
        <v>33</v>
      </c>
      <c r="B25" s="14">
        <v>0.18</v>
      </c>
      <c r="C25" s="14">
        <v>1.07</v>
      </c>
      <c r="D25" s="12">
        <v>203</v>
      </c>
      <c r="E25" s="48" t="e">
        <f t="shared" si="0"/>
        <v>#DIV/0!</v>
      </c>
      <c r="F25" s="48"/>
      <c r="G25" s="18" t="e">
        <f t="shared" si="1"/>
        <v>#DIV/0!</v>
      </c>
      <c r="H25" s="14" t="e">
        <f t="shared" si="2"/>
        <v>#DIV/0!</v>
      </c>
      <c r="J25" s="38" t="s">
        <v>62</v>
      </c>
      <c r="K25" s="35"/>
      <c r="L25" s="35"/>
    </row>
    <row r="26" spans="1:12" x14ac:dyDescent="0.25">
      <c r="A26" s="14">
        <v>34</v>
      </c>
      <c r="B26" s="14">
        <v>0.16</v>
      </c>
      <c r="C26" s="14">
        <v>1.0900000000000001</v>
      </c>
      <c r="D26" s="12">
        <v>318</v>
      </c>
      <c r="E26" s="48" t="e">
        <f t="shared" si="0"/>
        <v>#DIV/0!</v>
      </c>
      <c r="F26" s="48"/>
      <c r="G26" s="18" t="e">
        <f t="shared" si="1"/>
        <v>#DIV/0!</v>
      </c>
      <c r="H26" s="14" t="e">
        <f t="shared" si="2"/>
        <v>#DIV/0!</v>
      </c>
      <c r="J26" s="34" t="s">
        <v>64</v>
      </c>
    </row>
    <row r="27" spans="1:12" x14ac:dyDescent="0.25">
      <c r="A27" s="14">
        <v>35</v>
      </c>
      <c r="B27" s="14">
        <v>0.14299999999999999</v>
      </c>
      <c r="C27" s="14">
        <v>1.1100000000000001</v>
      </c>
      <c r="D27" s="12">
        <v>496</v>
      </c>
      <c r="E27" s="48" t="e">
        <f t="shared" si="0"/>
        <v>#DIV/0!</v>
      </c>
      <c r="F27" s="48"/>
      <c r="G27" s="18" t="e">
        <f t="shared" si="1"/>
        <v>#DIV/0!</v>
      </c>
      <c r="H27" s="14" t="e">
        <f t="shared" si="2"/>
        <v>#DIV/0!</v>
      </c>
    </row>
    <row r="28" spans="1:12" x14ac:dyDescent="0.25">
      <c r="A28" s="14">
        <v>36</v>
      </c>
      <c r="B28" s="14">
        <v>0.127</v>
      </c>
      <c r="C28" s="14">
        <v>1.1299999999999999</v>
      </c>
      <c r="D28" s="12">
        <v>771</v>
      </c>
      <c r="E28" s="48" t="e">
        <f t="shared" si="0"/>
        <v>#DIV/0!</v>
      </c>
      <c r="F28" s="48"/>
      <c r="G28" s="18" t="e">
        <f t="shared" si="1"/>
        <v>#DIV/0!</v>
      </c>
      <c r="H28" s="14" t="e">
        <f t="shared" si="2"/>
        <v>#DIV/0!</v>
      </c>
    </row>
    <row r="29" spans="1:12" x14ac:dyDescent="0.25">
      <c r="A29" s="14">
        <v>37</v>
      </c>
      <c r="B29" s="14">
        <v>0.113</v>
      </c>
      <c r="C29" s="14">
        <v>1.1499999999999999</v>
      </c>
      <c r="D29" s="13">
        <v>1200</v>
      </c>
      <c r="E29" s="48" t="e">
        <f t="shared" si="0"/>
        <v>#DIV/0!</v>
      </c>
      <c r="F29" s="48"/>
      <c r="G29" s="18" t="e">
        <f t="shared" si="1"/>
        <v>#DIV/0!</v>
      </c>
      <c r="H29" s="14" t="e">
        <f t="shared" si="2"/>
        <v>#DIV/0!</v>
      </c>
    </row>
    <row r="30" spans="1:12" x14ac:dyDescent="0.25">
      <c r="A30" s="14">
        <v>38</v>
      </c>
      <c r="B30" s="14">
        <v>0.10100000000000001</v>
      </c>
      <c r="C30" s="14">
        <v>1.18</v>
      </c>
      <c r="D30" s="13">
        <v>1800</v>
      </c>
      <c r="E30" s="48" t="e">
        <f t="shared" si="0"/>
        <v>#DIV/0!</v>
      </c>
      <c r="F30" s="48"/>
      <c r="G30" s="18" t="e">
        <f t="shared" si="1"/>
        <v>#DIV/0!</v>
      </c>
      <c r="H30" s="14" t="e">
        <f t="shared" si="2"/>
        <v>#DIV/0!</v>
      </c>
    </row>
    <row r="31" spans="1:12" x14ac:dyDescent="0.25">
      <c r="A31" s="14">
        <v>39</v>
      </c>
      <c r="B31" s="14">
        <v>0.09</v>
      </c>
      <c r="C31" s="14">
        <v>1.22</v>
      </c>
      <c r="D31" s="13">
        <v>2800</v>
      </c>
      <c r="E31" s="48" t="e">
        <f t="shared" si="0"/>
        <v>#DIV/0!</v>
      </c>
      <c r="F31" s="48"/>
      <c r="G31" s="18" t="e">
        <f t="shared" si="1"/>
        <v>#DIV/0!</v>
      </c>
      <c r="H31" s="14" t="e">
        <f t="shared" si="2"/>
        <v>#DIV/0!</v>
      </c>
    </row>
    <row r="32" spans="1:12" x14ac:dyDescent="0.25">
      <c r="A32" s="14">
        <v>40</v>
      </c>
      <c r="B32" s="14">
        <v>0.08</v>
      </c>
      <c r="C32" s="14">
        <v>1.25</v>
      </c>
      <c r="D32" s="13">
        <v>4400</v>
      </c>
      <c r="E32" s="48" t="e">
        <f t="shared" si="0"/>
        <v>#DIV/0!</v>
      </c>
      <c r="F32" s="48"/>
      <c r="G32" s="18" t="e">
        <f t="shared" si="1"/>
        <v>#DIV/0!</v>
      </c>
      <c r="H32" s="14" t="e">
        <f t="shared" si="2"/>
        <v>#DIV/0!</v>
      </c>
    </row>
    <row r="33" spans="1:8" x14ac:dyDescent="0.25">
      <c r="A33" s="14">
        <v>41</v>
      </c>
      <c r="B33" s="14">
        <v>7.0999999999999994E-2</v>
      </c>
      <c r="C33" s="14">
        <v>1.3</v>
      </c>
      <c r="D33" s="13">
        <v>6700</v>
      </c>
      <c r="E33" s="48" t="e">
        <f t="shared" si="0"/>
        <v>#DIV/0!</v>
      </c>
      <c r="F33" s="48"/>
      <c r="G33" s="18" t="e">
        <f t="shared" si="1"/>
        <v>#DIV/0!</v>
      </c>
      <c r="H33" s="14" t="e">
        <f t="shared" si="2"/>
        <v>#DIV/0!</v>
      </c>
    </row>
    <row r="34" spans="1:8" x14ac:dyDescent="0.25">
      <c r="A34" s="14">
        <v>42</v>
      </c>
      <c r="B34" s="14">
        <v>6.3E-2</v>
      </c>
      <c r="C34" s="14">
        <v>1.35</v>
      </c>
      <c r="D34" s="13">
        <v>10000</v>
      </c>
      <c r="E34" s="48" t="e">
        <f t="shared" si="0"/>
        <v>#DIV/0!</v>
      </c>
      <c r="F34" s="48"/>
      <c r="G34" s="18" t="e">
        <f t="shared" si="1"/>
        <v>#DIV/0!</v>
      </c>
      <c r="H34" s="14" t="e">
        <f t="shared" si="2"/>
        <v>#DIV/0!</v>
      </c>
    </row>
    <row r="35" spans="1:8" x14ac:dyDescent="0.25">
      <c r="A35" s="14">
        <v>43</v>
      </c>
      <c r="B35" s="14">
        <v>5.6000000000000001E-2</v>
      </c>
      <c r="C35" s="14">
        <v>1.41</v>
      </c>
      <c r="D35" s="13">
        <v>16000</v>
      </c>
      <c r="E35" s="48" t="e">
        <f t="shared" si="0"/>
        <v>#DIV/0!</v>
      </c>
      <c r="F35" s="48"/>
      <c r="G35" s="18" t="e">
        <f t="shared" si="1"/>
        <v>#DIV/0!</v>
      </c>
      <c r="H35" s="14" t="e">
        <f t="shared" si="2"/>
        <v>#DIV/0!</v>
      </c>
    </row>
    <row r="36" spans="1:8" x14ac:dyDescent="0.25">
      <c r="A36" s="16">
        <v>44</v>
      </c>
      <c r="B36" s="16">
        <v>0.05</v>
      </c>
      <c r="C36" s="16">
        <v>1.47</v>
      </c>
      <c r="D36" s="13">
        <v>24000</v>
      </c>
      <c r="E36" s="50" t="e">
        <f t="shared" si="0"/>
        <v>#DIV/0!</v>
      </c>
      <c r="F36" s="50"/>
      <c r="G36" s="18" t="e">
        <f t="shared" si="1"/>
        <v>#DIV/0!</v>
      </c>
      <c r="H36" s="16" t="e">
        <f t="shared" si="2"/>
        <v>#DIV/0!</v>
      </c>
    </row>
    <row r="37" spans="1:8" x14ac:dyDescent="0.25">
      <c r="A37" s="14">
        <v>45</v>
      </c>
      <c r="B37" s="14">
        <v>4.4999999999999998E-2</v>
      </c>
      <c r="C37" s="14">
        <v>1.54</v>
      </c>
      <c r="D37" s="13">
        <v>36000</v>
      </c>
      <c r="E37" s="48" t="e">
        <f t="shared" si="0"/>
        <v>#DIV/0!</v>
      </c>
      <c r="F37" s="48"/>
      <c r="G37" s="18" t="e">
        <f t="shared" si="1"/>
        <v>#DIV/0!</v>
      </c>
      <c r="H37" s="14" t="e">
        <f t="shared" si="2"/>
        <v>#DIV/0!</v>
      </c>
    </row>
    <row r="38" spans="1:8" x14ac:dyDescent="0.25">
      <c r="A38" s="14">
        <v>46</v>
      </c>
      <c r="B38" s="14">
        <v>0.04</v>
      </c>
      <c r="C38" s="14">
        <v>1.6</v>
      </c>
      <c r="D38" s="13">
        <v>54000</v>
      </c>
      <c r="E38" s="48" t="e">
        <f t="shared" si="0"/>
        <v>#DIV/0!</v>
      </c>
      <c r="F38" s="48"/>
      <c r="G38" s="18" t="e">
        <f t="shared" si="1"/>
        <v>#DIV/0!</v>
      </c>
      <c r="H38" s="14" t="e">
        <f t="shared" si="2"/>
        <v>#DIV/0!</v>
      </c>
    </row>
    <row r="39" spans="1:8" x14ac:dyDescent="0.25">
      <c r="A39" s="14">
        <v>47</v>
      </c>
      <c r="B39" s="14">
        <v>3.5000000000000003E-2</v>
      </c>
      <c r="C39" s="14">
        <v>1.64</v>
      </c>
      <c r="D39" s="13">
        <v>79000</v>
      </c>
      <c r="E39" s="48" t="e">
        <f t="shared" si="0"/>
        <v>#DIV/0!</v>
      </c>
      <c r="F39" s="48"/>
      <c r="G39" s="18" t="e">
        <f t="shared" si="1"/>
        <v>#DIV/0!</v>
      </c>
      <c r="H39" s="14" t="e">
        <f t="shared" si="2"/>
        <v>#DIV/0!</v>
      </c>
    </row>
    <row r="40" spans="1:8" x14ac:dyDescent="0.25">
      <c r="A40" s="14">
        <v>48</v>
      </c>
      <c r="B40" s="14">
        <v>3.2000000000000001E-2</v>
      </c>
      <c r="C40" s="14">
        <v>1.68</v>
      </c>
      <c r="D40" s="13">
        <v>115000</v>
      </c>
      <c r="E40" s="48" t="e">
        <f t="shared" si="0"/>
        <v>#DIV/0!</v>
      </c>
      <c r="F40" s="48"/>
      <c r="G40" s="18" t="e">
        <f t="shared" si="1"/>
        <v>#DIV/0!</v>
      </c>
      <c r="H40" s="14" t="e">
        <f t="shared" si="2"/>
        <v>#DIV/0!</v>
      </c>
    </row>
    <row r="41" spans="1:8" x14ac:dyDescent="0.25">
      <c r="A41" s="4" t="s">
        <v>107</v>
      </c>
    </row>
    <row r="42" spans="1:8" x14ac:dyDescent="0.25">
      <c r="A42" s="15" t="s">
        <v>23</v>
      </c>
      <c r="B42" s="15"/>
    </row>
    <row r="43" spans="1:8" x14ac:dyDescent="0.25">
      <c r="A43" s="47">
        <f>IF(f&gt;0,SQRT(rho/PI()/f/u0)*1000,0)</f>
        <v>0</v>
      </c>
      <c r="B43" s="15" t="s">
        <v>3</v>
      </c>
    </row>
    <row r="44" spans="1:8" x14ac:dyDescent="0.25">
      <c r="A44" s="4" t="s">
        <v>24</v>
      </c>
    </row>
    <row r="45" spans="1:8" x14ac:dyDescent="0.25">
      <c r="A45" s="4">
        <f>0.0000004*PI()</f>
        <v>1.2566370614359173E-6</v>
      </c>
    </row>
  </sheetData>
  <sheetProtection sheet="1" objects="1" scenarios="1"/>
  <protectedRanges>
    <protectedRange sqref="E14:E19 F14" name="Inputs"/>
  </protectedRanges>
  <mergeCells count="21">
    <mergeCell ref="E36:F36"/>
    <mergeCell ref="E37:F37"/>
    <mergeCell ref="E38:F38"/>
    <mergeCell ref="E39:F39"/>
    <mergeCell ref="E40:F40"/>
    <mergeCell ref="E13:I13"/>
    <mergeCell ref="E30:F30"/>
    <mergeCell ref="E31:F31"/>
    <mergeCell ref="E32:F32"/>
    <mergeCell ref="E33:F33"/>
    <mergeCell ref="E34:F34"/>
    <mergeCell ref="E35:F35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conditionalFormatting sqref="E24:H40">
    <cfRule type="containsErrors" dxfId="0" priority="1">
      <formula>ISERROR(E24)</formula>
    </cfRule>
  </conditionalFormatting>
  <hyperlinks>
    <hyperlink ref="E13" location="'Effective Frequency'!A1" display="See &quot;Effective Frequency&quot; page for non-sinusoidal currents"/>
    <hyperlink ref="F15" location="Diagrams!A1" display="See &quot;Diagrams&quot; page for definition"/>
    <hyperlink ref="J25" location="Diagrams!A1" display="See &quot;Diagrams&quot; page for definition"/>
    <hyperlink ref="J26" location="'Gapped Inductors'!A1" display="Gapped inductors page for gapped inductors"/>
    <hyperlink ref="B6" location="Diagrams!A1" display="See &quot;Diagrams&quot; page for definition"/>
    <hyperlink ref="B7" location="'Gapped Inductors'!A1" display="Gapped inductors page for gapped inductors"/>
    <hyperlink ref="A8" location="'Effective Frequency'!A1" display="See &quot;Effective Frequency&quot; page for non-sinusoidal currents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nductor material" prompt="Select from the drop-down list">
          <x14:formula1>
            <xm:f>Lists!$A$1:$A$2</xm:f>
          </x14:formula1>
          <xm:sqref>E18</xm:sqref>
        </x14:dataValidation>
        <x14:dataValidation type="list" allowBlank="1" showInputMessage="1" showErrorMessage="1" promptTitle="Frequency units" prompt="Select Hz, kHz or MHz">
          <x14:formula1>
            <xm:f>Lists!$A$4:$A$6</xm:f>
          </x14:formula1>
          <xm:sqref>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4"/>
  <sheetViews>
    <sheetView topLeftCell="A31" workbookViewId="0">
      <selection activeCell="B57" sqref="B57"/>
    </sheetView>
  </sheetViews>
  <sheetFormatPr defaultRowHeight="15" x14ac:dyDescent="0.25"/>
  <cols>
    <col min="1" max="1" width="9.140625" style="4"/>
    <col min="2" max="2" width="12.42578125" style="4" customWidth="1"/>
    <col min="3" max="3" width="9.5703125" style="4" bestFit="1" customWidth="1"/>
    <col min="4" max="5" width="9.140625" style="4"/>
    <col min="6" max="6" width="11.140625" style="4" customWidth="1"/>
    <col min="7" max="16384" width="9.140625" style="4"/>
  </cols>
  <sheetData>
    <row r="1" spans="1:8" x14ac:dyDescent="0.25">
      <c r="A1" s="32" t="s">
        <v>75</v>
      </c>
    </row>
    <row r="2" spans="1:8" x14ac:dyDescent="0.25">
      <c r="A2" s="46" t="s">
        <v>96</v>
      </c>
    </row>
    <row r="3" spans="1:8" x14ac:dyDescent="0.25">
      <c r="A3" s="46" t="s">
        <v>100</v>
      </c>
    </row>
    <row r="4" spans="1:8" x14ac:dyDescent="0.25">
      <c r="A4" s="46" t="s">
        <v>101</v>
      </c>
    </row>
    <row r="5" spans="1:8" x14ac:dyDescent="0.25">
      <c r="A5" s="46" t="s">
        <v>108</v>
      </c>
    </row>
    <row r="6" spans="1:8" ht="15.75" thickBot="1" x14ac:dyDescent="0.3">
      <c r="A6" s="46"/>
    </row>
    <row r="7" spans="1:8" ht="16.5" customHeight="1" thickBot="1" x14ac:dyDescent="0.3">
      <c r="A7" s="4" t="s">
        <v>68</v>
      </c>
      <c r="C7" s="2">
        <v>100</v>
      </c>
      <c r="D7" s="4" t="s">
        <v>69</v>
      </c>
    </row>
    <row r="9" spans="1:8" ht="15.75" thickBot="1" x14ac:dyDescent="0.3">
      <c r="B9" s="32" t="s">
        <v>67</v>
      </c>
    </row>
    <row r="10" spans="1:8" ht="15.75" thickBot="1" x14ac:dyDescent="0.3">
      <c r="B10" s="4" t="s">
        <v>70</v>
      </c>
      <c r="C10" s="39">
        <v>0.4</v>
      </c>
      <c r="D10" s="4" t="s">
        <v>80</v>
      </c>
    </row>
    <row r="11" spans="1:8" ht="15.75" thickBot="1" x14ac:dyDescent="0.3">
      <c r="B11" s="4" t="s">
        <v>97</v>
      </c>
      <c r="C11" s="2">
        <v>2</v>
      </c>
      <c r="D11" s="4" t="s">
        <v>78</v>
      </c>
    </row>
    <row r="12" spans="1:8" ht="15.75" thickBot="1" x14ac:dyDescent="0.3">
      <c r="B12" s="40" t="s">
        <v>71</v>
      </c>
      <c r="C12" s="41">
        <f>C7*2*SQRT(3/C10/(1-C10))/2/PI()*SQRT(1/3/(1/3 + C11))</f>
        <v>42.535947747241174</v>
      </c>
      <c r="D12" s="42" t="s">
        <v>72</v>
      </c>
      <c r="E12" s="42"/>
      <c r="F12" s="43"/>
    </row>
    <row r="13" spans="1:8" x14ac:dyDescent="0.25">
      <c r="B13" s="4" t="s">
        <v>98</v>
      </c>
    </row>
    <row r="15" spans="1:8" ht="15.75" thickBot="1" x14ac:dyDescent="0.3">
      <c r="B15" s="32" t="s">
        <v>76</v>
      </c>
    </row>
    <row r="16" spans="1:8" ht="15.75" thickBot="1" x14ac:dyDescent="0.3">
      <c r="B16" s="4" t="s">
        <v>79</v>
      </c>
      <c r="C16" s="39">
        <v>0.25</v>
      </c>
      <c r="D16" s="4" t="s">
        <v>80</v>
      </c>
      <c r="G16" s="31" t="s">
        <v>83</v>
      </c>
      <c r="H16" s="31">
        <f>C16+C17</f>
        <v>0.85</v>
      </c>
    </row>
    <row r="17" spans="2:8" ht="15.75" thickBot="1" x14ac:dyDescent="0.3">
      <c r="B17" s="4" t="s">
        <v>82</v>
      </c>
      <c r="C17" s="2">
        <v>0.6</v>
      </c>
      <c r="D17" s="4" t="s">
        <v>81</v>
      </c>
      <c r="G17" s="31" t="s">
        <v>84</v>
      </c>
      <c r="H17" s="31">
        <f>C16/H16</f>
        <v>0.29411764705882354</v>
      </c>
    </row>
    <row r="18" spans="2:8" ht="15.75" thickBot="1" x14ac:dyDescent="0.3">
      <c r="B18" s="40" t="s">
        <v>71</v>
      </c>
      <c r="C18" s="41">
        <f>C$7*2*SQRT(3/H17/(1-H17)/H16^2)/2/PI()*SQRT(1/3/(1/3+1))</f>
        <v>71.176254341717708</v>
      </c>
      <c r="D18" s="42" t="s">
        <v>72</v>
      </c>
      <c r="E18" s="42"/>
      <c r="F18" s="43"/>
    </row>
    <row r="20" spans="2:8" x14ac:dyDescent="0.25">
      <c r="B20" s="32" t="s">
        <v>88</v>
      </c>
    </row>
    <row r="21" spans="2:8" ht="15.75" thickBot="1" x14ac:dyDescent="0.3">
      <c r="B21" s="4" t="s">
        <v>70</v>
      </c>
      <c r="C21" s="20">
        <v>0.5</v>
      </c>
      <c r="D21" s="4" t="s">
        <v>85</v>
      </c>
    </row>
    <row r="22" spans="2:8" ht="15.75" thickBot="1" x14ac:dyDescent="0.3">
      <c r="B22" s="4" t="s">
        <v>99</v>
      </c>
      <c r="C22" s="2">
        <v>0.08</v>
      </c>
      <c r="D22" s="4" t="s">
        <v>89</v>
      </c>
    </row>
    <row r="23" spans="2:8" ht="19.5" customHeight="1" thickBot="1" x14ac:dyDescent="0.3">
      <c r="B23" s="40" t="s">
        <v>71</v>
      </c>
      <c r="C23" s="41">
        <f>C7*2*SQRT(2/C22/(1-C22*4/3))/2/PI()</f>
        <v>168.38886202813964</v>
      </c>
      <c r="D23" s="42" t="s">
        <v>72</v>
      </c>
      <c r="E23" s="42"/>
      <c r="F23" s="43"/>
    </row>
    <row r="24" spans="2:8" ht="19.5" customHeight="1" x14ac:dyDescent="0.25">
      <c r="B24" s="20"/>
      <c r="C24" s="44"/>
      <c r="D24" s="20"/>
      <c r="E24" s="20"/>
      <c r="F24" s="20"/>
    </row>
    <row r="25" spans="2:8" ht="15.75" thickBot="1" x14ac:dyDescent="0.3">
      <c r="B25" s="32" t="s">
        <v>87</v>
      </c>
    </row>
    <row r="26" spans="2:8" ht="15.75" thickBot="1" x14ac:dyDescent="0.3">
      <c r="B26" s="4" t="s">
        <v>70</v>
      </c>
      <c r="C26" s="39">
        <v>0.3</v>
      </c>
      <c r="D26" s="4" t="s">
        <v>85</v>
      </c>
    </row>
    <row r="27" spans="2:8" ht="15.75" thickBot="1" x14ac:dyDescent="0.3">
      <c r="B27" s="4" t="s">
        <v>73</v>
      </c>
      <c r="C27" s="2">
        <v>0.08</v>
      </c>
      <c r="D27" s="4" t="s">
        <v>89</v>
      </c>
    </row>
    <row r="28" spans="2:8" ht="15.75" thickBot="1" x14ac:dyDescent="0.3">
      <c r="B28" s="40" t="s">
        <v>71</v>
      </c>
      <c r="C28" s="41">
        <f>C7*2*SQRT(2/C27/(1-C27*4/3))/2/PI()</f>
        <v>168.38886202813964</v>
      </c>
      <c r="D28" s="42" t="s">
        <v>72</v>
      </c>
      <c r="E28" s="42"/>
      <c r="F28" s="43"/>
    </row>
    <row r="31" spans="2:8" ht="15.75" thickBot="1" x14ac:dyDescent="0.3">
      <c r="B31" s="32" t="s">
        <v>90</v>
      </c>
    </row>
    <row r="32" spans="2:8" ht="15.75" thickBot="1" x14ac:dyDescent="0.3">
      <c r="B32" s="4" t="s">
        <v>70</v>
      </c>
      <c r="C32" s="39">
        <v>0.6</v>
      </c>
      <c r="D32" s="4" t="s">
        <v>86</v>
      </c>
    </row>
    <row r="33" spans="2:6" ht="15.75" thickBot="1" x14ac:dyDescent="0.3">
      <c r="B33" s="4" t="s">
        <v>73</v>
      </c>
      <c r="C33" s="2">
        <v>0.06</v>
      </c>
      <c r="D33" s="4" t="s">
        <v>74</v>
      </c>
    </row>
    <row r="34" spans="2:6" ht="15.75" thickBot="1" x14ac:dyDescent="0.3">
      <c r="B34" s="40" t="s">
        <v>71</v>
      </c>
      <c r="C34" s="41">
        <f>C$7*2/SQRT(C33*(C32-C33*8/3))/2/PI()</f>
        <v>195.90619241912253</v>
      </c>
      <c r="D34" s="42" t="s">
        <v>72</v>
      </c>
      <c r="E34" s="42"/>
      <c r="F34" s="43"/>
    </row>
    <row r="37" spans="2:6" ht="15.75" thickBot="1" x14ac:dyDescent="0.3">
      <c r="B37" s="32" t="s">
        <v>77</v>
      </c>
    </row>
    <row r="38" spans="2:6" ht="15.75" thickBot="1" x14ac:dyDescent="0.3">
      <c r="B38" s="4" t="s">
        <v>70</v>
      </c>
      <c r="C38" s="39">
        <v>0.4</v>
      </c>
      <c r="D38" s="4" t="s">
        <v>85</v>
      </c>
    </row>
    <row r="39" spans="2:6" ht="15.75" thickBot="1" x14ac:dyDescent="0.3">
      <c r="B39" s="4" t="s">
        <v>73</v>
      </c>
      <c r="C39" s="2">
        <v>0.06</v>
      </c>
      <c r="D39" s="4" t="s">
        <v>74</v>
      </c>
    </row>
    <row r="40" spans="2:6" ht="15.75" thickBot="1" x14ac:dyDescent="0.3">
      <c r="B40" s="40" t="s">
        <v>71</v>
      </c>
      <c r="C40" s="41">
        <f>C$7*SQRT(1/(C39*(C38-C39*4/3)))/2/PI()</f>
        <v>114.86018654620668</v>
      </c>
      <c r="D40" s="42" t="s">
        <v>72</v>
      </c>
      <c r="E40" s="42"/>
      <c r="F40" s="43"/>
    </row>
    <row r="43" spans="2:6" ht="15.75" thickBot="1" x14ac:dyDescent="0.3">
      <c r="B43" s="32" t="s">
        <v>91</v>
      </c>
    </row>
    <row r="44" spans="2:6" ht="15.75" thickBot="1" x14ac:dyDescent="0.3">
      <c r="B44" s="4" t="s">
        <v>92</v>
      </c>
      <c r="C44" s="39">
        <v>0.6</v>
      </c>
      <c r="D44" s="4" t="s">
        <v>94</v>
      </c>
    </row>
    <row r="45" spans="2:6" ht="15.75" thickBot="1" x14ac:dyDescent="0.3">
      <c r="B45" s="4" t="s">
        <v>93</v>
      </c>
      <c r="C45" s="45">
        <v>70000</v>
      </c>
      <c r="D45" s="4" t="s">
        <v>95</v>
      </c>
    </row>
    <row r="46" spans="2:6" ht="15.75" thickBot="1" x14ac:dyDescent="0.3">
      <c r="B46" s="40" t="s">
        <v>71</v>
      </c>
      <c r="C46" s="41">
        <f>C45/C44/2/PI()</f>
        <v>18568.076694054456</v>
      </c>
      <c r="D46" s="42" t="s">
        <v>1</v>
      </c>
      <c r="E46" s="42"/>
      <c r="F46" s="43"/>
    </row>
    <row r="48" spans="2:6" x14ac:dyDescent="0.25">
      <c r="B48" s="4" t="s">
        <v>102</v>
      </c>
    </row>
    <row r="49" spans="2:2" x14ac:dyDescent="0.25">
      <c r="B49" s="4" t="s">
        <v>103</v>
      </c>
    </row>
    <row r="50" spans="2:2" x14ac:dyDescent="0.25">
      <c r="B50" s="4" t="s">
        <v>104</v>
      </c>
    </row>
    <row r="52" spans="2:2" x14ac:dyDescent="0.25">
      <c r="B52" s="4" t="s">
        <v>111</v>
      </c>
    </row>
    <row r="53" spans="2:2" x14ac:dyDescent="0.25">
      <c r="B53" s="34" t="s">
        <v>109</v>
      </c>
    </row>
    <row r="54" spans="2:2" x14ac:dyDescent="0.25">
      <c r="B54" s="46" t="s">
        <v>110</v>
      </c>
    </row>
  </sheetData>
  <sheetProtection sheet="1" objects="1" scenarios="1"/>
  <protectedRanges>
    <protectedRange sqref="C7 C10:C11 C16:C17 C22 C26:C27 C32:C33 C38:C39 C44:C45" name="Inputs"/>
  </protectedRanges>
  <hyperlinks>
    <hyperlink ref="B53" r:id="rId1" display="http://power.thayer.dartmouth.edu/papers/litzj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6384" width="9.140625" style="3"/>
  </cols>
  <sheetData>
    <row r="1" spans="1:1" x14ac:dyDescent="0.25">
      <c r="A1" s="3" t="s">
        <v>33</v>
      </c>
    </row>
    <row r="2" spans="1:1" x14ac:dyDescent="0.25">
      <c r="A2" s="3" t="s">
        <v>34</v>
      </c>
    </row>
    <row r="3" spans="1:1" x14ac:dyDescent="0.25">
      <c r="A3" s="3" t="s">
        <v>35</v>
      </c>
    </row>
    <row r="4" spans="1:1" x14ac:dyDescent="0.25">
      <c r="A4" s="19" t="s">
        <v>36</v>
      </c>
    </row>
  </sheetData>
  <sheetProtection sheet="1" objects="1" scenarios="1"/>
  <hyperlinks>
    <hyperlink ref="A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20" sqref="C20"/>
    </sheetView>
  </sheetViews>
  <sheetFormatPr defaultRowHeight="15" x14ac:dyDescent="0.25"/>
  <cols>
    <col min="1" max="1" width="12.28515625" style="4" customWidth="1"/>
    <col min="2" max="2" width="9.140625" style="4"/>
    <col min="3" max="3" width="11.42578125" style="4" customWidth="1"/>
    <col min="4" max="4" width="13.28515625" style="4" customWidth="1"/>
    <col min="5" max="16384" width="9.140625" style="4"/>
  </cols>
  <sheetData>
    <row r="1" spans="1:4" x14ac:dyDescent="0.25">
      <c r="A1" s="4" t="s">
        <v>53</v>
      </c>
    </row>
    <row r="2" spans="1:4" x14ac:dyDescent="0.25">
      <c r="A2" s="4" t="s">
        <v>54</v>
      </c>
    </row>
    <row r="3" spans="1:4" x14ac:dyDescent="0.25">
      <c r="A3" s="4" t="s">
        <v>55</v>
      </c>
    </row>
    <row r="4" spans="1:4" x14ac:dyDescent="0.25">
      <c r="A4" s="4" t="s">
        <v>56</v>
      </c>
    </row>
    <row r="5" spans="1:4" ht="15.75" thickBot="1" x14ac:dyDescent="0.3"/>
    <row r="6" spans="1:4" ht="15.75" thickBot="1" x14ac:dyDescent="0.3">
      <c r="A6" s="4" t="s">
        <v>39</v>
      </c>
      <c r="C6" s="8"/>
      <c r="D6" s="4" t="s">
        <v>3</v>
      </c>
    </row>
    <row r="7" spans="1:4" ht="15.75" thickBot="1" x14ac:dyDescent="0.3">
      <c r="A7" s="4" t="s">
        <v>42</v>
      </c>
      <c r="D7" s="9"/>
    </row>
    <row r="8" spans="1:4" x14ac:dyDescent="0.25">
      <c r="D8" s="20"/>
    </row>
    <row r="9" spans="1:4" ht="15.75" thickBot="1" x14ac:dyDescent="0.3">
      <c r="A9" s="4" t="s">
        <v>45</v>
      </c>
      <c r="D9" s="20"/>
    </row>
    <row r="10" spans="1:4" ht="15.75" thickBot="1" x14ac:dyDescent="0.3">
      <c r="A10" s="4" t="s">
        <v>52</v>
      </c>
      <c r="C10" s="8"/>
      <c r="D10" s="4" t="s">
        <v>3</v>
      </c>
    </row>
    <row r="11" spans="1:4" x14ac:dyDescent="0.25">
      <c r="C11" s="20"/>
    </row>
    <row r="12" spans="1:4" ht="15.75" thickBot="1" x14ac:dyDescent="0.3">
      <c r="A12" s="4" t="s">
        <v>57</v>
      </c>
      <c r="C12" s="20"/>
    </row>
    <row r="13" spans="1:4" ht="15.75" thickBot="1" x14ac:dyDescent="0.3">
      <c r="A13" s="4" t="s">
        <v>43</v>
      </c>
      <c r="C13" s="8"/>
      <c r="D13" s="4" t="s">
        <v>3</v>
      </c>
    </row>
    <row r="14" spans="1:4" ht="15.75" thickBot="1" x14ac:dyDescent="0.3">
      <c r="A14" s="4" t="s">
        <v>44</v>
      </c>
      <c r="C14" s="8"/>
      <c r="D14" s="4" t="s">
        <v>3</v>
      </c>
    </row>
    <row r="15" spans="1:4" ht="15.75" thickBot="1" x14ac:dyDescent="0.3"/>
    <row r="16" spans="1:4" x14ac:dyDescent="0.25">
      <c r="A16" s="21" t="s">
        <v>48</v>
      </c>
      <c r="B16" s="22"/>
      <c r="C16" s="22"/>
      <c r="D16" s="23"/>
    </row>
    <row r="17" spans="1:4" x14ac:dyDescent="0.25">
      <c r="A17" s="24" t="s">
        <v>49</v>
      </c>
      <c r="B17" s="25" t="str">
        <f>IF(D7="Circular",beffc,IF(D7="Rectangular",B31,"Select geometry above"))</f>
        <v>Select geometry above</v>
      </c>
      <c r="C17" s="25"/>
      <c r="D17" s="27"/>
    </row>
    <row r="18" spans="1:4" ht="15.75" thickBot="1" x14ac:dyDescent="0.3">
      <c r="A18" s="28"/>
      <c r="B18" s="26" t="s">
        <v>3</v>
      </c>
      <c r="C18" s="26"/>
      <c r="D18" s="29"/>
    </row>
    <row r="27" spans="1:4" x14ac:dyDescent="0.25">
      <c r="A27" s="4" t="s">
        <v>58</v>
      </c>
    </row>
    <row r="28" spans="1:4" x14ac:dyDescent="0.25">
      <c r="A28" s="31" t="s">
        <v>46</v>
      </c>
      <c r="B28" s="31">
        <f>C13*C14</f>
        <v>0</v>
      </c>
    </row>
    <row r="29" spans="1:4" x14ac:dyDescent="0.25">
      <c r="A29" s="31" t="s">
        <v>47</v>
      </c>
      <c r="B29" s="31">
        <f>SQRT(B28/PI())</f>
        <v>0</v>
      </c>
    </row>
    <row r="30" spans="1:4" x14ac:dyDescent="0.25">
      <c r="A30" s="31" t="s">
        <v>50</v>
      </c>
      <c r="B30" s="31">
        <f>ROUND(PI()*(0.693*inR+0.307*outR^0.91*inR^0.09),2)</f>
        <v>0</v>
      </c>
    </row>
    <row r="31" spans="1:4" x14ac:dyDescent="0.25">
      <c r="A31" s="31" t="s">
        <v>51</v>
      </c>
      <c r="B31" s="31">
        <f>ROUND(PI()*(0.693*inR+0.307*outRe^0.91*inR^0.09),2)</f>
        <v>0</v>
      </c>
    </row>
  </sheetData>
  <sheetProtection sheet="1" objects="1" scenarios="1"/>
  <protectedRanges>
    <protectedRange sqref="C6 D7 C10 C13 C14" name="Inputs"/>
  </protectedRange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Outside shape" prompt="Select geometry shown at right">
          <x14:formula1>
            <xm:f>Lists!$A$8:$A$9</xm:f>
          </x14:formula1>
          <xm:sqref>D7:D9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2" sqref="C12"/>
    </sheetView>
  </sheetViews>
  <sheetFormatPr defaultRowHeight="11.25" x14ac:dyDescent="0.2"/>
  <cols>
    <col min="1" max="16384" width="9.140625" style="31"/>
  </cols>
  <sheetData>
    <row r="1" spans="1:1" x14ac:dyDescent="0.2">
      <c r="A1" s="31" t="s">
        <v>5</v>
      </c>
    </row>
    <row r="2" spans="1:1" x14ac:dyDescent="0.2">
      <c r="A2" s="31" t="s">
        <v>6</v>
      </c>
    </row>
    <row r="4" spans="1:1" x14ac:dyDescent="0.2">
      <c r="A4" s="31" t="s">
        <v>1</v>
      </c>
    </row>
    <row r="5" spans="1:1" x14ac:dyDescent="0.2">
      <c r="A5" s="31" t="s">
        <v>0</v>
      </c>
    </row>
    <row r="6" spans="1:1" x14ac:dyDescent="0.2">
      <c r="A6" s="31" t="s">
        <v>7</v>
      </c>
    </row>
    <row r="8" spans="1:1" x14ac:dyDescent="0.2">
      <c r="A8" s="31" t="s">
        <v>40</v>
      </c>
    </row>
    <row r="9" spans="1:1" x14ac:dyDescent="0.2">
      <c r="A9" s="31" t="s">
        <v>41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Stranding Calculation</vt:lpstr>
      <vt:lpstr>Effective Frequency</vt:lpstr>
      <vt:lpstr>Diagrams</vt:lpstr>
      <vt:lpstr>Gapped Inductors</vt:lpstr>
      <vt:lpstr>Lists</vt:lpstr>
      <vt:lpstr>b</vt:lpstr>
      <vt:lpstr>beffc</vt:lpstr>
      <vt:lpstr>beffr</vt:lpstr>
      <vt:lpstr>delta</vt:lpstr>
      <vt:lpstr>f</vt:lpstr>
      <vt:lpstr>inR</vt:lpstr>
      <vt:lpstr>lt</vt:lpstr>
      <vt:lpstr>Ns</vt:lpstr>
      <vt:lpstr>outR</vt:lpstr>
      <vt:lpstr>outRe</vt:lpstr>
      <vt:lpstr>rho</vt:lpstr>
      <vt:lpstr>u0</vt:lpstr>
    </vt:vector>
  </TitlesOfParts>
  <Company>Thayer School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R. Sullivan</dc:creator>
  <cp:lastModifiedBy>Charles R. Sullivan</cp:lastModifiedBy>
  <dcterms:created xsi:type="dcterms:W3CDTF">2014-06-15T21:41:09Z</dcterms:created>
  <dcterms:modified xsi:type="dcterms:W3CDTF">2014-06-18T19:36:04Z</dcterms:modified>
</cp:coreProperties>
</file>